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tabRatio="653" activeTab="0"/>
  </bookViews>
  <sheets>
    <sheet name="Anleitung" sheetId="1" r:id="rId1"/>
    <sheet name="Tagespflege" sheetId="2" r:id="rId2"/>
    <sheet name="Stat. Pflege" sheetId="3" r:id="rId3"/>
  </sheets>
  <definedNames>
    <definedName name="_xlnm.Print_Area" localSheetId="1">'Tagespflege'!$A$1:$N$40</definedName>
  </definedNames>
  <calcPr fullCalcOnLoad="1"/>
</workbook>
</file>

<file path=xl/sharedStrings.xml><?xml version="1.0" encoding="utf-8"?>
<sst xmlns="http://schemas.openxmlformats.org/spreadsheetml/2006/main" count="152" uniqueCount="78">
  <si>
    <t>Tagespflege</t>
  </si>
  <si>
    <t xml:space="preserve">Leistungen der </t>
  </si>
  <si>
    <t>Kosten pro Tag</t>
  </si>
  <si>
    <t>Pflegeversicherung</t>
  </si>
  <si>
    <t>Pflege</t>
  </si>
  <si>
    <t>U / V / I</t>
  </si>
  <si>
    <t>Gesamt</t>
  </si>
  <si>
    <t>Geldleistung</t>
  </si>
  <si>
    <t>Sachleistung</t>
  </si>
  <si>
    <t>Pflegestufe 1</t>
  </si>
  <si>
    <t>Pflegestufe 2</t>
  </si>
  <si>
    <t>Pflegestufe 3</t>
  </si>
  <si>
    <t>Unterk./Verpfl.</t>
  </si>
  <si>
    <t>Invest.kost.:</t>
  </si>
  <si>
    <t>Kosten pro Monat (circa)</t>
  </si>
  <si>
    <t>Zusätzliche Pflegekosten pro Monat</t>
  </si>
  <si>
    <t>Tage pro Woche (Faktor 4,35)</t>
  </si>
  <si>
    <t>Tage / Woche</t>
  </si>
  <si>
    <t>(bei Pflegestufe 0 entstehen Kosten entsprechend Stufe 1!)</t>
  </si>
  <si>
    <t>Verbleib von Pflegegeld pro Monat ohne Anrechn. U/V/I (circa)</t>
  </si>
  <si>
    <t>Verbleib Pflegegeld (+) oder Mehrkosten (-) pro Monat</t>
  </si>
  <si>
    <t>Nur Pflegekosten pro Monat (circa)</t>
  </si>
  <si>
    <t xml:space="preserve">Berechnung der Ausfallgebühr </t>
  </si>
  <si>
    <t>übernimmt</t>
  </si>
  <si>
    <t>Kosten für</t>
  </si>
  <si>
    <t>pro Tag (75%P/U/V + I)</t>
  </si>
  <si>
    <t>Pflegekasse</t>
  </si>
  <si>
    <t>Nutzer</t>
  </si>
  <si>
    <t>(wenn weniger als 14 Tage vorher mitgeteilt</t>
  </si>
  <si>
    <t xml:space="preserve"> und Tagespflege bereits begonnen </t>
  </si>
  <si>
    <t xml:space="preserve"> höchstens für 20 Tage im Jahr)</t>
  </si>
  <si>
    <t>Stationäre Pflege</t>
  </si>
  <si>
    <t>U / V / I/A</t>
  </si>
  <si>
    <t>Pflegestufe 0</t>
  </si>
  <si>
    <t>Ausb.pausch.</t>
  </si>
  <si>
    <t>(Faktor 365/12)</t>
  </si>
  <si>
    <t>Pflege-</t>
  </si>
  <si>
    <t>verbleibender</t>
  </si>
  <si>
    <t>versicherung</t>
  </si>
  <si>
    <t>Kostenanteil</t>
  </si>
  <si>
    <t>Kosten für Kurzzeitpflege</t>
  </si>
  <si>
    <t>Selbstkosten</t>
  </si>
  <si>
    <t>pro Tag</t>
  </si>
  <si>
    <t>anteil</t>
  </si>
  <si>
    <t>max. für Tage</t>
  </si>
  <si>
    <t>Berechnung der Ausfallgebühr pro Tag bei Kurzzeitpflege</t>
  </si>
  <si>
    <t xml:space="preserve">(wenn weniger als 14 Tage vorher mitgeteilt und Kzpfl bereits begonnen </t>
  </si>
  <si>
    <t>höchstens für 20 Tage im Jahr)</t>
  </si>
  <si>
    <t>(75%P/U/V + I + A)</t>
  </si>
  <si>
    <t>1431,62 € reichen</t>
  </si>
  <si>
    <t>Berechnungsgrundlage</t>
  </si>
  <si>
    <t>Sachleistung verbraucht</t>
  </si>
  <si>
    <t>Pflegest. 1</t>
  </si>
  <si>
    <t>Pflegest. 2</t>
  </si>
  <si>
    <t>Pflegest. 3</t>
  </si>
  <si>
    <t>durch Pflegedienst:</t>
  </si>
  <si>
    <t>(individuellen Betrag eingeben)</t>
  </si>
  <si>
    <t>(U/V/I Kosten mit eingerechnet)</t>
  </si>
  <si>
    <t>Nur U/V/I Kosten pro Monat (circa)</t>
  </si>
  <si>
    <t>Verbleib von Pflegegeld (+) oder zusätzliche</t>
  </si>
  <si>
    <t>Pflegekosten (-) pro Monat</t>
  </si>
  <si>
    <t>Verbleib von Sachleistung pro Monat</t>
  </si>
  <si>
    <t>(wenn noch Pflegegeld in Höhe der U/V/I Kosten übrig bleiben soll)</t>
  </si>
  <si>
    <t>Anleitung:</t>
  </si>
  <si>
    <t>Die folgenden Tabellen ermöglichen die Berechnung der durchschnittlichen monatlichen Kosten für einen Aufenthalt in einer Tagespflege oder in einer stationären Pflegeeinrichtung.</t>
  </si>
  <si>
    <t>Als Eingabe genügt der jeweilige Tageskostensatz der Einrichtung in den gelben Feldern.
Der Kostensatz ist immer unterteilt in Pflegekosten, einen Investitionskostenanteil und Kosten für Unterkunft und Verpflegung.</t>
  </si>
  <si>
    <t>(Mit "U / V / I Kosten" ist die Summe der Unterkunfts- und Verpflegungs- sowie des Investitionskostenanteils gemeint)</t>
  </si>
  <si>
    <t>In den Ergebnisfeldern erhalten Sie einen Überblick über die durchschnittlichen monatlichen Kosten. Dabei wurde von einem Monat mit durchschnittlicher Zahl an Tagen, Wochenenden und Feiertagen ausgegangen.</t>
  </si>
  <si>
    <t>Sogenannte "Ausfallgebühren" entstehen immer, wenn ein Tagesgast oder Kurzzeitpflegegast an ein oder mehreren Tagen kurzfristig nicht kommt. Die Regelungen dazu können von Bundesland zu Bundesland unterschiedlich sein.</t>
  </si>
  <si>
    <t>Je nachdem, an wievielen Tagen in der Woche der Tagesgast kommt, finden Sie die Kostenübersicht in der entsprechenden Spalte.</t>
  </si>
  <si>
    <t>Auf der rechten Seite finden Sie Berechnungen zum Verbleib von Pflegegeld bzw. entstehenden Mehrkosten. In der zweiten Tabelle sind bei dieser Berechnung bereits die U / V / I Kosten, die Sie in jedem Fall selbst bezahlen müssen, einbezogen. Das heißt, wenn Sie z.B. im Monat 100 € Pflegegeld ausbezahlt bekämen, aber für die U / V / I Kosten 50 € aufbringen müssen, bleiben Ihnen effektiv nur noch 50 € zur freien Verfügung. Diesen Betrag bzw. ebenso die effektiven Mehrkosten, falls kein Pflegegeld mehr ausbezahlt wird, finden Sie in der Tabelle.</t>
  </si>
  <si>
    <t>In den unteren Spalten finden Sie Angaben zum Verbleib von Sachleistungen. In der zweiten Spalte ist angegeben, welche Sachleistungen Ihnen noch bleiben, wenn Sie zusätzlich soviel Pflegegeld ausbezahlt bekommen, daß Sie damit die U / V / I Kosten begleichen können.</t>
  </si>
  <si>
    <t xml:space="preserve">Falls ein Tagesgast einen Teil seiner Pflegeversicherungssachleistungen bereits durch die Hilfeleistungen eines Pflegedienstes aufbraucht, bleibt ihm nur noch ein geringerer Teil der Sachleistung für die Tagespflege. Um in diesem Fall berechnen zu können, welche Kosten für die Tagespflege entstehen, sind drei zusätzliche gelbe Eingabefelder rechts oben vorgesehen ("Sachleistung verbraucht durch Pflegedienst"), in denen normalerweise der Betrag "Null" stehen sollte. Geben Sie in das Feld der entsprechenden Pflegestufe den Sachleistungsbetrag ein, der bereits vom Pflegedienst monatlich ausgeschöpft wird. </t>
  </si>
  <si>
    <t>Für die normale Berechnung tragen Sie anschließend wieder den Wert "Null" ein.</t>
  </si>
  <si>
    <t xml:space="preserve">Die genauen Kosten in einem bestimmten Monat liegen deshalb je nach Anzahl der Nutzungstage etwas höher oder niedriger.  </t>
  </si>
  <si>
    <t>Individuelle Berechnungsmöglichkeit bei Kombi-Leistungen:</t>
  </si>
  <si>
    <t>Hinweis: Klicken Sie zunächst mit der Maus auf die entsprechende Leiste "Tagespflege" oder "Stat. Pflege" am unteren Bildrand. Zur Eingabe bewegen Sie mit der Maus das Kreuz auf das entsprechende gelbe Feld und klicken es einmal an. Geben Sie dann den Betrag nur als Zahl ohne Währungssymbol ein und beenden die Eingabe mit der Entertaste (Eingabetaste).</t>
  </si>
  <si>
    <r>
      <t>Excel-Datei zur Berechnung individueller monatlicher Kosten bei der Nutzung von Tagespflege, Kurzzeitpflege und stationärer Pflege</t>
    </r>
    <r>
      <rPr>
        <sz val="11"/>
        <rFont val="Arial"/>
        <family val="0"/>
      </rPr>
      <t xml:space="preserve">
</t>
    </r>
    <r>
      <rPr>
        <i/>
        <sz val="11"/>
        <rFont val="Arial"/>
        <family val="2"/>
      </rPr>
      <t>erstellt von Günther Schwarz, Alzheimer Beratungsstelle, Evangelische Gesellschaft Stuttgart e.V., 2002. 
Tel. 0711 / 68 68 77-22
Ich hoffe, die Datei kann Ihnen eine kleine Hilfe sein!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</si>
</sst>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0\ &quot;DM&quot;"/>
    <numFmt numFmtId="174" formatCode="0.E+00"/>
    <numFmt numFmtId="175" formatCode="0.0"/>
  </numFmts>
  <fonts count="10">
    <font>
      <sz val="10"/>
      <name val="Arial"/>
      <family val="0"/>
    </font>
    <font>
      <b/>
      <sz val="10"/>
      <name val="Arial"/>
      <family val="2"/>
    </font>
    <font>
      <sz val="9"/>
      <name val="Arial"/>
      <family val="2"/>
    </font>
    <font>
      <b/>
      <sz val="20"/>
      <name val="Arial"/>
      <family val="2"/>
    </font>
    <font>
      <u val="single"/>
      <sz val="10"/>
      <color indexed="12"/>
      <name val="Arial"/>
      <family val="0"/>
    </font>
    <font>
      <u val="single"/>
      <sz val="10"/>
      <color indexed="36"/>
      <name val="Arial"/>
      <family val="0"/>
    </font>
    <font>
      <sz val="11"/>
      <name val="Arial"/>
      <family val="0"/>
    </font>
    <font>
      <i/>
      <sz val="11"/>
      <name val="Arial"/>
      <family val="2"/>
    </font>
    <font>
      <b/>
      <u val="single"/>
      <sz val="12"/>
      <name val="Arial"/>
      <family val="2"/>
    </font>
    <font>
      <b/>
      <sz val="14"/>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
    <xf numFmtId="0" fontId="0" fillId="0" borderId="0" xfId="0" applyAlignment="1">
      <alignment/>
    </xf>
    <xf numFmtId="172"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2" borderId="1" xfId="0" applyFont="1" applyFill="1" applyBorder="1" applyAlignment="1">
      <alignment horizontal="center"/>
    </xf>
    <xf numFmtId="0" fontId="2" fillId="2" borderId="1" xfId="0" applyFont="1" applyFill="1" applyBorder="1" applyAlignment="1">
      <alignment/>
    </xf>
    <xf numFmtId="0" fontId="3" fillId="0" borderId="0" xfId="0" applyFont="1" applyAlignment="1">
      <alignment/>
    </xf>
    <xf numFmtId="0" fontId="0" fillId="0" borderId="0" xfId="0" applyFill="1" applyBorder="1" applyAlignment="1">
      <alignment/>
    </xf>
    <xf numFmtId="0" fontId="2" fillId="0" borderId="0" xfId="0" applyFont="1" applyAlignment="1">
      <alignment/>
    </xf>
    <xf numFmtId="14" fontId="0" fillId="0" borderId="0" xfId="0" applyNumberFormat="1" applyAlignment="1">
      <alignment/>
    </xf>
    <xf numFmtId="0" fontId="0" fillId="0" borderId="0" xfId="0" applyFill="1" applyAlignment="1">
      <alignment/>
    </xf>
    <xf numFmtId="8" fontId="0" fillId="3" borderId="1" xfId="0" applyNumberFormat="1" applyFill="1" applyBorder="1" applyAlignment="1">
      <alignment/>
    </xf>
    <xf numFmtId="8" fontId="0" fillId="0" borderId="1" xfId="0" applyNumberFormat="1" applyBorder="1" applyAlignment="1">
      <alignment/>
    </xf>
    <xf numFmtId="8" fontId="0" fillId="0" borderId="1" xfId="0" applyNumberFormat="1" applyFill="1" applyBorder="1" applyAlignment="1">
      <alignment/>
    </xf>
    <xf numFmtId="6" fontId="0" fillId="0" borderId="1" xfId="0" applyNumberFormat="1" applyFill="1" applyBorder="1" applyAlignment="1">
      <alignment/>
    </xf>
    <xf numFmtId="8" fontId="0" fillId="3" borderId="1" xfId="0" applyNumberFormat="1" applyFill="1" applyBorder="1" applyAlignment="1" applyProtection="1">
      <alignment/>
      <protection locked="0"/>
    </xf>
    <xf numFmtId="1" fontId="0" fillId="0" borderId="1" xfId="0" applyNumberFormat="1" applyBorder="1" applyAlignment="1">
      <alignment horizontal="center"/>
    </xf>
    <xf numFmtId="0" fontId="0" fillId="0" borderId="0" xfId="0" applyNumberFormat="1" applyAlignment="1">
      <alignment wrapText="1"/>
    </xf>
    <xf numFmtId="0" fontId="1" fillId="0" borderId="0" xfId="0" applyNumberFormat="1" applyFont="1" applyAlignment="1">
      <alignment wrapText="1"/>
    </xf>
    <xf numFmtId="0" fontId="0" fillId="0" borderId="0" xfId="0" applyAlignment="1">
      <alignment wrapText="1"/>
    </xf>
    <xf numFmtId="0" fontId="0" fillId="0" borderId="0" xfId="0" applyNumberFormat="1" applyFont="1" applyAlignment="1">
      <alignment wrapText="1"/>
    </xf>
    <xf numFmtId="0" fontId="8" fillId="0" borderId="0" xfId="0" applyNumberFormat="1" applyFont="1" applyAlignment="1">
      <alignment vertical="top" wrapText="1"/>
    </xf>
    <xf numFmtId="0" fontId="0" fillId="0" borderId="1" xfId="0" applyBorder="1" applyAlignment="1">
      <alignment wrapText="1"/>
    </xf>
    <xf numFmtId="0" fontId="9" fillId="0" borderId="0" xfId="0" applyNumberFormat="1" applyFont="1" applyAlignment="1">
      <alignment wrapText="1"/>
    </xf>
  </cellXfs>
  <cellStyles count="8">
    <cellStyle name="Normal" xfId="0"/>
    <cellStyle name="Besuchter Hyperlink" xfId="15"/>
    <cellStyle name="Comma" xfId="16"/>
    <cellStyle name="Comma [0]" xfId="17"/>
    <cellStyle name="Hyperlink" xfId="18"/>
    <cellStyle name="Percent" xfId="19"/>
    <cellStyle name="Currency" xfId="20"/>
    <cellStyle name="Currency [0]"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
  <sheetViews>
    <sheetView tabSelected="1" zoomScale="80" zoomScaleNormal="80" workbookViewId="0" topLeftCell="A1">
      <selection activeCell="C2" sqref="C2"/>
    </sheetView>
  </sheetViews>
  <sheetFormatPr defaultColWidth="11.421875" defaultRowHeight="12.75"/>
  <cols>
    <col min="1" max="1" width="122.28125" style="0" customWidth="1"/>
  </cols>
  <sheetData>
    <row r="1" ht="83.25" customHeight="1">
      <c r="A1" s="21" t="s">
        <v>77</v>
      </c>
    </row>
    <row r="2" ht="21.75" customHeight="1">
      <c r="A2" s="23" t="s">
        <v>63</v>
      </c>
    </row>
    <row r="3" ht="28.5" customHeight="1">
      <c r="A3" s="17" t="s">
        <v>64</v>
      </c>
    </row>
    <row r="4" ht="12.75">
      <c r="A4" s="17"/>
    </row>
    <row r="5" ht="37.5" customHeight="1">
      <c r="A5" s="18" t="s">
        <v>65</v>
      </c>
    </row>
    <row r="6" ht="12.75">
      <c r="A6" s="19" t="s">
        <v>66</v>
      </c>
    </row>
    <row r="7" ht="12.75">
      <c r="A7" s="19"/>
    </row>
    <row r="8" ht="38.25">
      <c r="A8" s="22" t="s">
        <v>76</v>
      </c>
    </row>
    <row r="9" ht="12.75">
      <c r="A9" s="18"/>
    </row>
    <row r="10" ht="25.5">
      <c r="A10" s="20" t="s">
        <v>67</v>
      </c>
    </row>
    <row r="11" ht="15.75" customHeight="1">
      <c r="A11" s="17" t="s">
        <v>74</v>
      </c>
    </row>
    <row r="12" ht="12.75">
      <c r="A12" s="17"/>
    </row>
    <row r="13" ht="25.5" customHeight="1">
      <c r="A13" s="17" t="s">
        <v>68</v>
      </c>
    </row>
    <row r="14" ht="12.75">
      <c r="A14" s="17"/>
    </row>
    <row r="15" ht="12.75">
      <c r="A15" s="18" t="s">
        <v>0</v>
      </c>
    </row>
    <row r="16" ht="18" customHeight="1">
      <c r="A16" s="17" t="s">
        <v>69</v>
      </c>
    </row>
    <row r="17" ht="56.25" customHeight="1">
      <c r="A17" s="17" t="s">
        <v>70</v>
      </c>
    </row>
    <row r="18" ht="25.5">
      <c r="A18" s="17" t="s">
        <v>71</v>
      </c>
    </row>
    <row r="19" ht="12.75">
      <c r="A19" s="17"/>
    </row>
    <row r="20" ht="12.75">
      <c r="A20" s="18" t="s">
        <v>75</v>
      </c>
    </row>
    <row r="21" ht="66.75" customHeight="1">
      <c r="A21" s="17" t="s">
        <v>72</v>
      </c>
    </row>
    <row r="22" ht="12.75">
      <c r="A22" s="17" t="s">
        <v>73</v>
      </c>
    </row>
    <row r="23" ht="12.75">
      <c r="A23" s="17"/>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40"/>
  <sheetViews>
    <sheetView zoomScale="75" zoomScaleNormal="75" workbookViewId="0" topLeftCell="A1">
      <selection activeCell="R49" sqref="R49"/>
    </sheetView>
  </sheetViews>
  <sheetFormatPr defaultColWidth="11.421875" defaultRowHeight="12.75"/>
  <cols>
    <col min="3" max="3" width="12.00390625" style="0" customWidth="1"/>
    <col min="4" max="8" width="11.57421875" style="0" customWidth="1"/>
  </cols>
  <sheetData>
    <row r="1" spans="1:9" ht="26.25">
      <c r="A1" s="6" t="s">
        <v>0</v>
      </c>
      <c r="D1" s="9">
        <f ca="1">TODAY()</f>
        <v>37370</v>
      </c>
      <c r="I1" s="6"/>
    </row>
    <row r="2" spans="6:9" ht="12.75">
      <c r="F2" s="2" t="s">
        <v>1</v>
      </c>
      <c r="I2" s="2" t="s">
        <v>51</v>
      </c>
    </row>
    <row r="3" spans="1:12" ht="12.75">
      <c r="A3" s="2" t="s">
        <v>2</v>
      </c>
      <c r="F3" s="2" t="s">
        <v>3</v>
      </c>
      <c r="I3" s="2" t="s">
        <v>55</v>
      </c>
      <c r="L3" s="2" t="s">
        <v>50</v>
      </c>
    </row>
    <row r="4" spans="2:13" ht="12.75">
      <c r="B4" t="s">
        <v>4</v>
      </c>
      <c r="C4" t="s">
        <v>5</v>
      </c>
      <c r="D4" t="s">
        <v>6</v>
      </c>
      <c r="F4" t="s">
        <v>7</v>
      </c>
      <c r="G4" t="s">
        <v>8</v>
      </c>
      <c r="I4" t="s">
        <v>56</v>
      </c>
      <c r="L4" t="s">
        <v>7</v>
      </c>
      <c r="M4" t="s">
        <v>8</v>
      </c>
    </row>
    <row r="5" spans="1:13" ht="12.75">
      <c r="A5" t="s">
        <v>52</v>
      </c>
      <c r="B5" s="11">
        <v>39.55</v>
      </c>
      <c r="C5" s="12">
        <f>B9+D9</f>
        <v>11.98</v>
      </c>
      <c r="D5" s="13">
        <f>SUM(B5:C5)</f>
        <v>51.53</v>
      </c>
      <c r="E5" s="1"/>
      <c r="F5" s="15">
        <v>204.52</v>
      </c>
      <c r="G5" s="15">
        <v>383.47</v>
      </c>
      <c r="I5" t="s">
        <v>52</v>
      </c>
      <c r="J5" s="15">
        <v>0</v>
      </c>
      <c r="L5" s="13">
        <f>F5*M5/G5</f>
        <v>204.52</v>
      </c>
      <c r="M5" s="13">
        <f>G5-J5</f>
        <v>383.47</v>
      </c>
    </row>
    <row r="6" spans="1:13" ht="12.75">
      <c r="A6" t="s">
        <v>53</v>
      </c>
      <c r="B6" s="11">
        <v>52.21</v>
      </c>
      <c r="C6" s="12">
        <f>B9+D9</f>
        <v>11.98</v>
      </c>
      <c r="D6" s="13">
        <f>SUM(B6:C6)</f>
        <v>64.19</v>
      </c>
      <c r="E6" s="1"/>
      <c r="F6" s="15">
        <v>409.03</v>
      </c>
      <c r="G6" s="15">
        <v>920.33</v>
      </c>
      <c r="I6" t="s">
        <v>53</v>
      </c>
      <c r="J6" s="15">
        <v>0</v>
      </c>
      <c r="L6" s="13">
        <f>F6*M6/G6</f>
        <v>409.03</v>
      </c>
      <c r="M6" s="13">
        <f>G6-J6</f>
        <v>920.33</v>
      </c>
    </row>
    <row r="7" spans="1:13" ht="12.75">
      <c r="A7" t="s">
        <v>54</v>
      </c>
      <c r="B7" s="11">
        <v>60.65</v>
      </c>
      <c r="C7" s="12">
        <f>B9+D9</f>
        <v>11.98</v>
      </c>
      <c r="D7" s="13">
        <f>SUM(B7:C7)</f>
        <v>72.63</v>
      </c>
      <c r="E7" s="1"/>
      <c r="F7" s="15">
        <v>664.68</v>
      </c>
      <c r="G7" s="15">
        <v>1431.62</v>
      </c>
      <c r="I7" t="s">
        <v>54</v>
      </c>
      <c r="J7" s="15">
        <v>0</v>
      </c>
      <c r="L7" s="13">
        <f>F7*M7/G7</f>
        <v>664.68</v>
      </c>
      <c r="M7" s="13">
        <f>G7-J7</f>
        <v>1431.62</v>
      </c>
    </row>
    <row r="8" spans="14:15" ht="12.75">
      <c r="N8" s="10"/>
      <c r="O8" s="10"/>
    </row>
    <row r="9" spans="1:4" ht="12.75">
      <c r="A9" t="s">
        <v>12</v>
      </c>
      <c r="B9" s="11">
        <v>9.46</v>
      </c>
      <c r="C9" t="s">
        <v>13</v>
      </c>
      <c r="D9" s="11">
        <v>2.52</v>
      </c>
    </row>
    <row r="10" ht="12.75">
      <c r="P10" s="2" t="s">
        <v>15</v>
      </c>
    </row>
    <row r="11" spans="1:9" ht="12.75">
      <c r="A11" s="2" t="s">
        <v>14</v>
      </c>
      <c r="I11" s="2" t="s">
        <v>59</v>
      </c>
    </row>
    <row r="12" spans="3:21" ht="12.75">
      <c r="C12" t="s">
        <v>16</v>
      </c>
      <c r="I12" s="2" t="s">
        <v>60</v>
      </c>
      <c r="P12" s="5" t="s">
        <v>17</v>
      </c>
      <c r="Q12" s="4">
        <v>1</v>
      </c>
      <c r="R12" s="4">
        <v>2</v>
      </c>
      <c r="S12" s="4">
        <v>3</v>
      </c>
      <c r="T12" s="4">
        <v>4</v>
      </c>
      <c r="U12" s="4">
        <v>5</v>
      </c>
    </row>
    <row r="13" spans="1:21" ht="12.75">
      <c r="A13" s="5" t="s">
        <v>17</v>
      </c>
      <c r="B13" s="4">
        <v>1</v>
      </c>
      <c r="C13" s="4">
        <v>2</v>
      </c>
      <c r="D13" s="4">
        <v>3</v>
      </c>
      <c r="E13" s="4">
        <v>4</v>
      </c>
      <c r="F13" s="4">
        <v>5</v>
      </c>
      <c r="I13" s="5" t="s">
        <v>17</v>
      </c>
      <c r="J13" s="4">
        <v>1</v>
      </c>
      <c r="K13" s="4">
        <v>2</v>
      </c>
      <c r="L13" s="4">
        <v>3</v>
      </c>
      <c r="M13" s="4">
        <v>4</v>
      </c>
      <c r="N13" s="4">
        <v>5</v>
      </c>
      <c r="P13" s="3" t="s">
        <v>52</v>
      </c>
      <c r="Q13" s="14">
        <f>IF(B22-M5&gt;=0,B22-M5,0)</f>
        <v>0</v>
      </c>
      <c r="R13" s="14">
        <f>IF(C22-M5&gt;=0,C22-M5,0)</f>
        <v>0</v>
      </c>
      <c r="S13" s="14">
        <f>IF(D22-M5&gt;=0,D22-M5,0)</f>
        <v>132.6574999999999</v>
      </c>
      <c r="T13" s="14">
        <f>IF(E22-M5&gt;=0,E22-M5,0)</f>
        <v>304.6999999999998</v>
      </c>
      <c r="U13" s="14">
        <f>IF(F22-M5&gt;=0,F22-M5,0)</f>
        <v>476.74249999999995</v>
      </c>
    </row>
    <row r="14" spans="1:21" ht="12.75">
      <c r="A14" s="3" t="s">
        <v>52</v>
      </c>
      <c r="B14" s="14">
        <f>4.35*B13*D5</f>
        <v>224.1555</v>
      </c>
      <c r="C14" s="14">
        <f>4.35*C13*D5</f>
        <v>448.311</v>
      </c>
      <c r="D14" s="14">
        <f>4.35*D13*D5</f>
        <v>672.4665</v>
      </c>
      <c r="E14" s="14">
        <f>4.35*E13*D5</f>
        <v>896.622</v>
      </c>
      <c r="F14" s="14">
        <f>4.35*F13*D5</f>
        <v>1120.7775</v>
      </c>
      <c r="I14" s="3" t="s">
        <v>52</v>
      </c>
      <c r="J14" s="14">
        <f aca="true" t="shared" si="0" ref="J14:N16">Q21-Q13</f>
        <v>112.76280360914807</v>
      </c>
      <c r="K14" s="14">
        <f t="shared" si="0"/>
        <v>21.00560721829612</v>
      </c>
      <c r="L14" s="14">
        <f t="shared" si="0"/>
        <v>-132.6574999999999</v>
      </c>
      <c r="M14" s="14">
        <f t="shared" si="0"/>
        <v>-304.6999999999998</v>
      </c>
      <c r="N14" s="14">
        <f t="shared" si="0"/>
        <v>-476.74249999999995</v>
      </c>
      <c r="P14" s="3" t="s">
        <v>53</v>
      </c>
      <c r="Q14" s="14">
        <f>IF(B23-M6&gt;=0,B23-M6,0)</f>
        <v>0</v>
      </c>
      <c r="R14" s="14">
        <f>IF(C23-M6&gt;=0,C23-M6,0)</f>
        <v>0</v>
      </c>
      <c r="S14" s="14">
        <f>IF(D23-M6&gt;=0,D23-M6,0)</f>
        <v>0</v>
      </c>
      <c r="T14" s="14">
        <f>IF(E23-M6&gt;=0,E23-M6,0)</f>
        <v>0</v>
      </c>
      <c r="U14" s="14">
        <f>IF(F23-M6&gt;=0,F23-M6,0)</f>
        <v>215.23750000000007</v>
      </c>
    </row>
    <row r="15" spans="1:21" ht="12.75">
      <c r="A15" s="3" t="s">
        <v>53</v>
      </c>
      <c r="B15" s="14">
        <f>4.35*B13*D6</f>
        <v>279.2265</v>
      </c>
      <c r="C15" s="14">
        <f>4.35*C13*D6</f>
        <v>558.453</v>
      </c>
      <c r="D15" s="14">
        <f>4.35*D13*D6</f>
        <v>837.6794999999998</v>
      </c>
      <c r="E15" s="14">
        <f>4.35*E13*D6</f>
        <v>1116.906</v>
      </c>
      <c r="F15" s="14">
        <f>4.35*F13*D6</f>
        <v>1396.1325</v>
      </c>
      <c r="I15" s="3" t="s">
        <v>53</v>
      </c>
      <c r="J15" s="14">
        <f t="shared" si="0"/>
        <v>308.09203763324024</v>
      </c>
      <c r="K15" s="14">
        <f t="shared" si="0"/>
        <v>207.1540752664805</v>
      </c>
      <c r="L15" s="14">
        <f t="shared" si="0"/>
        <v>106.21611289972083</v>
      </c>
      <c r="M15" s="14">
        <f t="shared" si="0"/>
        <v>5.278150532961035</v>
      </c>
      <c r="N15" s="14">
        <f t="shared" si="0"/>
        <v>-215.23750000000007</v>
      </c>
      <c r="P15" s="3" t="s">
        <v>54</v>
      </c>
      <c r="Q15" s="14">
        <f>IF(B24-M7&gt;=0,B24-M7,0)</f>
        <v>0</v>
      </c>
      <c r="R15" s="14">
        <f>IF(C24-M7&gt;=0,C24-M7,0)</f>
        <v>0</v>
      </c>
      <c r="S15" s="14">
        <f>IF(D24-M7&gt;=0,D24-M7,0)</f>
        <v>0</v>
      </c>
      <c r="T15" s="14">
        <f>IF(E24-M7&gt;=0,E24-M7,0)</f>
        <v>0</v>
      </c>
      <c r="U15" s="14">
        <f>IF(F24-M7&gt;=0,F24-M7,0)</f>
        <v>0</v>
      </c>
    </row>
    <row r="16" spans="1:14" ht="12.75">
      <c r="A16" s="3" t="s">
        <v>54</v>
      </c>
      <c r="B16" s="14">
        <f>4.35*B13*D7</f>
        <v>315.94049999999993</v>
      </c>
      <c r="C16" s="14">
        <f>4.35*C13*D7</f>
        <v>631.8809999999999</v>
      </c>
      <c r="D16" s="14">
        <f>4.35*D13*D7</f>
        <v>947.8214999999999</v>
      </c>
      <c r="E16" s="14">
        <f>4.35*E13*D7</f>
        <v>1263.7619999999997</v>
      </c>
      <c r="F16" s="14">
        <f>4.35*F13*D7</f>
        <v>1579.7024999999999</v>
      </c>
      <c r="I16" s="3" t="s">
        <v>54</v>
      </c>
      <c r="J16" s="14">
        <f t="shared" si="0"/>
        <v>542.1887923471312</v>
      </c>
      <c r="K16" s="14">
        <f t="shared" si="0"/>
        <v>419.69758469426245</v>
      </c>
      <c r="L16" s="14">
        <f t="shared" si="0"/>
        <v>297.2063770413937</v>
      </c>
      <c r="M16" s="14">
        <f t="shared" si="0"/>
        <v>174.71516938852488</v>
      </c>
      <c r="N16" s="14">
        <f t="shared" si="0"/>
        <v>52.22396173565619</v>
      </c>
    </row>
    <row r="17" ht="12.75">
      <c r="A17" s="7" t="s">
        <v>18</v>
      </c>
    </row>
    <row r="18" spans="1:16" ht="12.75">
      <c r="A18" s="2"/>
      <c r="P18" s="2" t="s">
        <v>19</v>
      </c>
    </row>
    <row r="19" spans="1:9" ht="12.75">
      <c r="A19" s="2" t="s">
        <v>21</v>
      </c>
      <c r="I19" s="2" t="s">
        <v>20</v>
      </c>
    </row>
    <row r="20" spans="3:21" ht="12.75">
      <c r="C20" t="s">
        <v>16</v>
      </c>
      <c r="I20" t="s">
        <v>57</v>
      </c>
      <c r="P20" s="5" t="s">
        <v>17</v>
      </c>
      <c r="Q20" s="4">
        <v>1</v>
      </c>
      <c r="R20" s="4">
        <v>2</v>
      </c>
      <c r="S20" s="4">
        <v>3</v>
      </c>
      <c r="T20" s="4">
        <v>4</v>
      </c>
      <c r="U20" s="4">
        <v>5</v>
      </c>
    </row>
    <row r="21" spans="1:21" ht="12.75">
      <c r="A21" s="5" t="s">
        <v>17</v>
      </c>
      <c r="B21" s="4">
        <v>1</v>
      </c>
      <c r="C21" s="4">
        <v>2</v>
      </c>
      <c r="D21" s="4">
        <v>3</v>
      </c>
      <c r="E21" s="4">
        <v>4</v>
      </c>
      <c r="F21" s="4">
        <v>5</v>
      </c>
      <c r="I21" s="5" t="s">
        <v>17</v>
      </c>
      <c r="J21" s="4">
        <v>1</v>
      </c>
      <c r="K21" s="4">
        <v>2</v>
      </c>
      <c r="L21" s="4">
        <v>3</v>
      </c>
      <c r="M21" s="4">
        <v>4</v>
      </c>
      <c r="N21" s="4">
        <v>5</v>
      </c>
      <c r="P21" s="3" t="s">
        <v>52</v>
      </c>
      <c r="Q21" s="14">
        <f>IF(L5-(B5*1*4.35)*L5/M5&gt;=0,L5-(B5*1*4.35)*L5/M5,0)</f>
        <v>112.76280360914807</v>
      </c>
      <c r="R21" s="14">
        <f>IF(L5-(B5*2*4.35)*L5/M5&gt;=0,L5-(B5*2*4.35)*L5/M5,0)</f>
        <v>21.00560721829612</v>
      </c>
      <c r="S21" s="14">
        <f>IF(L5-(B5*3*4.35)*L5/M5&gt;=0,L5-(B5*3*4.35)*L5/M5,0)</f>
        <v>0</v>
      </c>
      <c r="T21" s="14">
        <f>IF(L5-(B5*4*4.35)*L5/M5&gt;=0,L5-(B5*4*4.35)*L5/M5,0)</f>
        <v>0</v>
      </c>
      <c r="U21" s="14">
        <f>IF(L5-(B5*5*4.35)*L5/M5&gt;=0,L5-(B5*5*4.35)*L5/M5,0)</f>
        <v>0</v>
      </c>
    </row>
    <row r="22" spans="1:21" ht="12.75">
      <c r="A22" s="3" t="s">
        <v>52</v>
      </c>
      <c r="B22" s="14">
        <f>4.35*1*B5</f>
        <v>172.04249999999996</v>
      </c>
      <c r="C22" s="14">
        <f>4.35*2*B5</f>
        <v>344.0849999999999</v>
      </c>
      <c r="D22" s="14">
        <f>4.35*3*B5</f>
        <v>516.1274999999999</v>
      </c>
      <c r="E22" s="14">
        <f>4.35*4*B5</f>
        <v>688.1699999999998</v>
      </c>
      <c r="F22" s="14">
        <f>4.35*5*B5</f>
        <v>860.2125</v>
      </c>
      <c r="I22" s="3" t="s">
        <v>52</v>
      </c>
      <c r="J22" s="14">
        <f aca="true" t="shared" si="1" ref="J22:N24">Q21-Q13-B30</f>
        <v>60.649803609148066</v>
      </c>
      <c r="K22" s="14">
        <f t="shared" si="1"/>
        <v>-83.22039278170388</v>
      </c>
      <c r="L22" s="14">
        <f t="shared" si="1"/>
        <v>-288.99649999999986</v>
      </c>
      <c r="M22" s="14">
        <f t="shared" si="1"/>
        <v>-513.1519999999998</v>
      </c>
      <c r="N22" s="14">
        <f t="shared" si="1"/>
        <v>-737.3074999999999</v>
      </c>
      <c r="P22" s="3" t="s">
        <v>53</v>
      </c>
      <c r="Q22" s="14">
        <f>IF(L6-(B6*1*4.35)*L6/M6&gt;=0,L6-(B6*1*4.35)*L6/M6,0)</f>
        <v>308.09203763324024</v>
      </c>
      <c r="R22" s="14">
        <f>IF(L6-(B6*2*4.35)*L6/M6&gt;=0,L6-(B6*2*4.35)*L6/M6,0)</f>
        <v>207.1540752664805</v>
      </c>
      <c r="S22" s="14">
        <f>IF(L6-(B6*3*4.35)*L6/M6&gt;=0,L6-(B6*3*4.35)*L6/M6,0)</f>
        <v>106.21611289972083</v>
      </c>
      <c r="T22" s="14">
        <f>IF(L6-(B6*4*4.35)*L6/M6&gt;=0,L6-(B6*4*4.35)*L6/M6,0)</f>
        <v>5.278150532961035</v>
      </c>
      <c r="U22" s="14">
        <f>IF(L6-(B6*5*4.35)*L6/M6&gt;=0,L6-(B6*5*4.35)*L6/M6,0)</f>
        <v>0</v>
      </c>
    </row>
    <row r="23" spans="1:21" ht="12.75">
      <c r="A23" s="3" t="s">
        <v>53</v>
      </c>
      <c r="B23" s="14">
        <f>4.35*1*B6</f>
        <v>227.1135</v>
      </c>
      <c r="C23" s="14">
        <f>4.35*2*B6</f>
        <v>454.227</v>
      </c>
      <c r="D23" s="14">
        <f>4.35*3*B6</f>
        <v>681.3404999999999</v>
      </c>
      <c r="E23" s="14">
        <f>4.35*4*B6</f>
        <v>908.454</v>
      </c>
      <c r="F23" s="14">
        <f>4.35*5*B6</f>
        <v>1135.5675</v>
      </c>
      <c r="I23" s="3" t="s">
        <v>53</v>
      </c>
      <c r="J23" s="14">
        <f t="shared" si="1"/>
        <v>255.97903763324024</v>
      </c>
      <c r="K23" s="14">
        <f t="shared" si="1"/>
        <v>102.9280752664805</v>
      </c>
      <c r="L23" s="14">
        <f t="shared" si="1"/>
        <v>-50.122887100279144</v>
      </c>
      <c r="M23" s="14">
        <f t="shared" si="1"/>
        <v>-203.17384946703896</v>
      </c>
      <c r="N23" s="14">
        <f t="shared" si="1"/>
        <v>-475.80250000000007</v>
      </c>
      <c r="P23" s="3" t="s">
        <v>54</v>
      </c>
      <c r="Q23" s="14">
        <f>IF(L7-(B7*1*4.35)*L7/M7&gt;=0,L7-(B7*1*4.35)*L7/M7,0)</f>
        <v>542.1887923471312</v>
      </c>
      <c r="R23" s="14">
        <f>IF(L7-(B7*2*4.35)*L7/M7&gt;=0,L7-(B7*2*4.35)*L7/M7,0)</f>
        <v>419.69758469426245</v>
      </c>
      <c r="S23" s="14">
        <f>IF(L7-(B7*3*4.35)*L7/M7&gt;=0,L7-(B7*3*4.35)*L7/M7,0)</f>
        <v>297.2063770413937</v>
      </c>
      <c r="T23" s="14">
        <f>IF(L7-(B7*4*4.35)*L7/M7&gt;=0,L7-(B7*4*4.35)*L7/M7,0)</f>
        <v>174.71516938852488</v>
      </c>
      <c r="U23" s="14">
        <f>IF(L7-(B7*5*4.35)*L7/M7&gt;=0,L7-(B7*5*4.35)*L7/M7,0)</f>
        <v>52.22396173565619</v>
      </c>
    </row>
    <row r="24" spans="1:14" ht="12.75">
      <c r="A24" s="3" t="s">
        <v>54</v>
      </c>
      <c r="B24" s="14">
        <f>4.35*1*B7</f>
        <v>263.8275</v>
      </c>
      <c r="C24" s="14">
        <f>4.35*2*B7</f>
        <v>527.655</v>
      </c>
      <c r="D24" s="14">
        <f>4.35*3*B7</f>
        <v>791.4825</v>
      </c>
      <c r="E24" s="14">
        <f>4.35*4*B7</f>
        <v>1055.31</v>
      </c>
      <c r="F24" s="14">
        <f>4.35*5*B7</f>
        <v>1319.1375</v>
      </c>
      <c r="I24" s="3" t="s">
        <v>54</v>
      </c>
      <c r="J24" s="14">
        <f t="shared" si="1"/>
        <v>490.0757923471312</v>
      </c>
      <c r="K24" s="14">
        <f t="shared" si="1"/>
        <v>315.47158469426245</v>
      </c>
      <c r="L24" s="14">
        <f t="shared" si="1"/>
        <v>140.86737704139372</v>
      </c>
      <c r="M24" s="14">
        <f t="shared" si="1"/>
        <v>-33.73683061147511</v>
      </c>
      <c r="N24" s="14">
        <f t="shared" si="1"/>
        <v>-208.3410382643438</v>
      </c>
    </row>
    <row r="25" ht="12.75">
      <c r="A25" s="7" t="s">
        <v>18</v>
      </c>
    </row>
    <row r="27" spans="1:9" ht="12.75">
      <c r="A27" s="2" t="s">
        <v>58</v>
      </c>
      <c r="I27" s="2" t="s">
        <v>61</v>
      </c>
    </row>
    <row r="29" spans="1:14" ht="12.75">
      <c r="A29" s="5" t="s">
        <v>17</v>
      </c>
      <c r="B29" s="4">
        <v>1</v>
      </c>
      <c r="C29" s="4">
        <v>2</v>
      </c>
      <c r="D29" s="4">
        <v>3</v>
      </c>
      <c r="E29" s="4">
        <v>4</v>
      </c>
      <c r="F29" s="4">
        <v>5</v>
      </c>
      <c r="I29" s="5" t="s">
        <v>17</v>
      </c>
      <c r="J29" s="4">
        <v>1</v>
      </c>
      <c r="K29" s="4">
        <v>2</v>
      </c>
      <c r="L29" s="4">
        <v>3</v>
      </c>
      <c r="M29" s="4">
        <v>4</v>
      </c>
      <c r="N29" s="4">
        <v>5</v>
      </c>
    </row>
    <row r="30" spans="1:14" ht="12.75">
      <c r="A30" s="3" t="s">
        <v>52</v>
      </c>
      <c r="B30" s="14">
        <f>C5*1*4.35</f>
        <v>52.113</v>
      </c>
      <c r="C30" s="14">
        <f>C5*2*4.35</f>
        <v>104.226</v>
      </c>
      <c r="D30" s="14">
        <f>C5*3*4.35</f>
        <v>156.33899999999997</v>
      </c>
      <c r="E30" s="14">
        <f>C5*4*4.35</f>
        <v>208.452</v>
      </c>
      <c r="F30" s="14">
        <f>C5*5*4.35</f>
        <v>260.565</v>
      </c>
      <c r="I30" s="3" t="s">
        <v>52</v>
      </c>
      <c r="J30" s="14">
        <f>IF(J14*M5/L5&gt;=0,J14*M5/L5,0)</f>
        <v>211.42750000000004</v>
      </c>
      <c r="K30" s="14">
        <f>IF(K14*M5/L5&gt;=0,K14*M5/L5,0)</f>
        <v>39.38500000000006</v>
      </c>
      <c r="L30" s="14">
        <f>IF(L14*M5/L5&gt;=0,L14*M5/L5,0)</f>
        <v>0</v>
      </c>
      <c r="M30" s="14">
        <f>IF(M14*M5/L5&gt;=0,M14*M5/L5,0)</f>
        <v>0</v>
      </c>
      <c r="N30" s="14">
        <f>IF(N14*M5/L5&gt;=0,N14*M5/L5,0)</f>
        <v>0</v>
      </c>
    </row>
    <row r="31" spans="1:14" ht="12.75">
      <c r="A31" s="3" t="s">
        <v>53</v>
      </c>
      <c r="B31" s="14">
        <f>C6*1*4.35</f>
        <v>52.113</v>
      </c>
      <c r="C31" s="14">
        <f>C6*2*4.35</f>
        <v>104.226</v>
      </c>
      <c r="D31" s="14">
        <f>C6*3*4.35</f>
        <v>156.33899999999997</v>
      </c>
      <c r="E31" s="14">
        <f>C6*4*4.35</f>
        <v>208.452</v>
      </c>
      <c r="F31" s="14">
        <f>C6*5*4.35</f>
        <v>260.565</v>
      </c>
      <c r="I31" s="3" t="s">
        <v>53</v>
      </c>
      <c r="J31" s="14">
        <f>IF(J15*M6/L6&gt;=0,J15*M6/L6,0)</f>
        <v>693.2165</v>
      </c>
      <c r="K31" s="14">
        <f>IF(K15*M6/L6&gt;=0,K15*M6/L6,0)</f>
        <v>466.103</v>
      </c>
      <c r="L31" s="14">
        <f>IF(L15*M6/L6&gt;=0,L15*M6/L6,0)</f>
        <v>238.9895000000002</v>
      </c>
      <c r="M31" s="14">
        <f>IF(M15*M6/L6&gt;=0,M15*M6/L6,0)</f>
        <v>11.876000000000074</v>
      </c>
      <c r="N31" s="14">
        <f>IF(N15*M6/L6&gt;=0,N15*M6/L6,0)</f>
        <v>0</v>
      </c>
    </row>
    <row r="32" spans="1:14" ht="12.75">
      <c r="A32" s="3" t="s">
        <v>54</v>
      </c>
      <c r="B32" s="14">
        <f>C7*1*4.35</f>
        <v>52.113</v>
      </c>
      <c r="C32" s="14">
        <f>C7*2*4.35</f>
        <v>104.226</v>
      </c>
      <c r="D32" s="14">
        <f>C7*3*4.35</f>
        <v>156.33899999999997</v>
      </c>
      <c r="E32" s="14">
        <f>C7*4*4.35</f>
        <v>208.452</v>
      </c>
      <c r="F32" s="14">
        <f>C7*5*4.35</f>
        <v>260.565</v>
      </c>
      <c r="I32" s="3" t="s">
        <v>54</v>
      </c>
      <c r="J32" s="14">
        <f>IF(J16*M7/L7&gt;=0,J16*M7/L7,0)</f>
        <v>1167.7925</v>
      </c>
      <c r="K32" s="14">
        <f>IF(K16*M7/L7&gt;=0,K16*M7/L7,0)</f>
        <v>903.9649999999999</v>
      </c>
      <c r="L32" s="14">
        <f>IF(L16*M7/L7&gt;=0,L16*M7/L7,0)</f>
        <v>640.1375</v>
      </c>
      <c r="M32" s="14">
        <f>IF(M16*M7/L7&gt;=0,M16*M7/L7,0)</f>
        <v>376.31</v>
      </c>
      <c r="N32" s="14">
        <f>IF(N16*M7/L7&gt;=0,N16*M7/L7,0)</f>
        <v>112.48250000000017</v>
      </c>
    </row>
    <row r="35" spans="1:9" ht="12.75">
      <c r="A35" s="2" t="s">
        <v>22</v>
      </c>
      <c r="E35" t="s">
        <v>23</v>
      </c>
      <c r="F35" t="s">
        <v>24</v>
      </c>
      <c r="I35" s="2" t="s">
        <v>61</v>
      </c>
    </row>
    <row r="36" spans="1:9" ht="12.75">
      <c r="A36" s="2" t="s">
        <v>25</v>
      </c>
      <c r="E36" t="s">
        <v>26</v>
      </c>
      <c r="F36" t="s">
        <v>27</v>
      </c>
      <c r="G36" t="s">
        <v>6</v>
      </c>
      <c r="I36" t="s">
        <v>62</v>
      </c>
    </row>
    <row r="37" spans="1:14" ht="12.75">
      <c r="A37" s="8" t="s">
        <v>28</v>
      </c>
      <c r="D37" s="3" t="s">
        <v>52</v>
      </c>
      <c r="E37" s="12">
        <f>B5*0.75</f>
        <v>29.662499999999998</v>
      </c>
      <c r="F37" s="12">
        <f>B9*0.75+D9</f>
        <v>9.615</v>
      </c>
      <c r="G37" s="12">
        <f>SUM(E37:F37)</f>
        <v>39.277499999999996</v>
      </c>
      <c r="I37" s="5" t="s">
        <v>17</v>
      </c>
      <c r="J37" s="4">
        <v>1</v>
      </c>
      <c r="K37" s="4">
        <v>2</v>
      </c>
      <c r="L37" s="4">
        <v>3</v>
      </c>
      <c r="M37" s="4">
        <v>4</v>
      </c>
      <c r="N37" s="4">
        <v>5</v>
      </c>
    </row>
    <row r="38" spans="1:14" ht="12.75">
      <c r="A38" s="8" t="s">
        <v>29</v>
      </c>
      <c r="D38" s="3" t="s">
        <v>53</v>
      </c>
      <c r="E38" s="12">
        <f>B6*0.75</f>
        <v>39.1575</v>
      </c>
      <c r="F38" s="12">
        <f>B9*0.75+D9</f>
        <v>9.615</v>
      </c>
      <c r="G38" s="12">
        <f>SUM(E38:F38)</f>
        <v>48.7725</v>
      </c>
      <c r="I38" s="3" t="s">
        <v>52</v>
      </c>
      <c r="J38" s="14">
        <f>IF(J22*M5/L5&gt;=0,J22*M5/L5,0)</f>
        <v>113.71689903187956</v>
      </c>
      <c r="K38" s="14">
        <f>IF(K22*M5/L5&gt;=0,K22*M5/L5,0)</f>
        <v>0</v>
      </c>
      <c r="L38" s="14">
        <f>IF(L22*M5/L5&gt;=0,L22*M5/L5,0)</f>
        <v>0</v>
      </c>
      <c r="M38" s="14">
        <f>IF(M22*M5/L5&gt;=0,M22*M5/L5,0)</f>
        <v>0</v>
      </c>
      <c r="N38" s="14">
        <f>IF(N22*M5/L5&gt;=0,N22*M5/L5,0)</f>
        <v>0</v>
      </c>
    </row>
    <row r="39" spans="1:14" ht="12.75">
      <c r="A39" s="8" t="s">
        <v>30</v>
      </c>
      <c r="D39" s="3" t="s">
        <v>54</v>
      </c>
      <c r="E39" s="12">
        <f>B7*0.75</f>
        <v>45.4875</v>
      </c>
      <c r="F39" s="12">
        <f>B9*0.75+D9</f>
        <v>9.615</v>
      </c>
      <c r="G39" s="12">
        <f>SUM(E39:F39)</f>
        <v>55.1025</v>
      </c>
      <c r="I39" s="3" t="s">
        <v>53</v>
      </c>
      <c r="J39" s="14">
        <f>IF(J23*M6/L6&gt;=0,J23*M6/L6,0)</f>
        <v>575.9606574212161</v>
      </c>
      <c r="K39" s="14">
        <f>IF(K23*M6/L6&gt;=0,K23*M6/L6,0)</f>
        <v>231.59131484243213</v>
      </c>
      <c r="L39" s="14">
        <f>IF(L23*M6/L6&gt;=0,L23*M6/L6,0)</f>
        <v>0</v>
      </c>
      <c r="M39" s="14">
        <f>IF(M23*M6/L6&gt;=0,M23*M6/L6,0)</f>
        <v>0</v>
      </c>
      <c r="N39" s="14">
        <f>IF(N23*M6/L6&gt;=0,N23*M6/L6,0)</f>
        <v>0</v>
      </c>
    </row>
    <row r="40" spans="9:14" ht="12.75">
      <c r="I40" s="3" t="s">
        <v>54</v>
      </c>
      <c r="J40" s="14">
        <f>IF(J24*M7/L7&gt;=0,J24*M7/L7,0)</f>
        <v>1055.5489947643978</v>
      </c>
      <c r="K40" s="14">
        <f>IF(K24*M7/L7&gt;=0,K24*M7/L7,0)</f>
        <v>679.4779895287958</v>
      </c>
      <c r="L40" s="14">
        <f>IF(L24*M7/L7&gt;=0,L24*M7/L7,0)</f>
        <v>303.40698429319383</v>
      </c>
      <c r="M40" s="14">
        <f>IF(M24*M7/L7&gt;=0,M24*M7/L7,0)</f>
        <v>0</v>
      </c>
      <c r="N40" s="14">
        <f>IF(N24*M7/L7&gt;=0,N24*M7/L7,0)</f>
        <v>0</v>
      </c>
    </row>
  </sheetData>
  <sheetProtection sheet="1" objects="1" scenarios="1"/>
  <conditionalFormatting sqref="J14:N16 J22:N24">
    <cfRule type="cellIs" priority="1" dxfId="0" operator="lessThan" stopIfTrue="1">
      <formula>0</formula>
    </cfRule>
  </conditionalFormatting>
  <printOptions/>
  <pageMargins left="0.75" right="0.75" top="1" bottom="1" header="0.4921259845" footer="0.4921259845"/>
  <pageSetup fitToHeight="1" fitToWidth="1" orientation="landscape" paperSize="9" scale="80" r:id="rId1"/>
</worksheet>
</file>

<file path=xl/worksheets/sheet3.xml><?xml version="1.0" encoding="utf-8"?>
<worksheet xmlns="http://schemas.openxmlformats.org/spreadsheetml/2006/main" xmlns:r="http://schemas.openxmlformats.org/officeDocument/2006/relationships">
  <dimension ref="B1:F40"/>
  <sheetViews>
    <sheetView zoomScale="75" zoomScaleNormal="75" workbookViewId="0" topLeftCell="A1">
      <selection activeCell="M18" sqref="M18"/>
    </sheetView>
  </sheetViews>
  <sheetFormatPr defaultColWidth="11.421875" defaultRowHeight="12.75"/>
  <cols>
    <col min="2" max="2" width="13.421875" style="0" customWidth="1"/>
    <col min="3" max="4" width="11.57421875" style="0" customWidth="1"/>
  </cols>
  <sheetData>
    <row r="1" spans="2:6" ht="26.25">
      <c r="B1" s="6" t="s">
        <v>31</v>
      </c>
      <c r="F1" s="9">
        <f ca="1">TODAY()</f>
        <v>37370</v>
      </c>
    </row>
    <row r="3" ht="12.75">
      <c r="B3" s="2" t="s">
        <v>2</v>
      </c>
    </row>
    <row r="4" spans="3:5" ht="12.75">
      <c r="C4" t="s">
        <v>4</v>
      </c>
      <c r="D4" t="s">
        <v>32</v>
      </c>
      <c r="E4" t="s">
        <v>6</v>
      </c>
    </row>
    <row r="5" spans="2:5" ht="12.75">
      <c r="B5" t="s">
        <v>33</v>
      </c>
      <c r="C5" s="15">
        <v>31.49</v>
      </c>
      <c r="D5" s="12">
        <f>C10+E10+C11</f>
        <v>28.229999999999997</v>
      </c>
      <c r="E5" s="12">
        <f>SUM(C5:D5)</f>
        <v>59.72</v>
      </c>
    </row>
    <row r="6" spans="2:5" ht="12.75">
      <c r="B6" t="s">
        <v>9</v>
      </c>
      <c r="C6" s="15">
        <v>56.93</v>
      </c>
      <c r="D6" s="12">
        <f>C10+E10+C11</f>
        <v>28.229999999999997</v>
      </c>
      <c r="E6" s="12">
        <f>SUM(C6:D6)</f>
        <v>85.16</v>
      </c>
    </row>
    <row r="7" spans="2:5" ht="12.75">
      <c r="B7" t="s">
        <v>10</v>
      </c>
      <c r="C7" s="15">
        <v>67.97</v>
      </c>
      <c r="D7" s="12">
        <f>C10+E10+C11</f>
        <v>28.229999999999997</v>
      </c>
      <c r="E7" s="12">
        <f>SUM(C7:D7)</f>
        <v>96.19999999999999</v>
      </c>
    </row>
    <row r="8" spans="2:5" ht="12.75">
      <c r="B8" t="s">
        <v>11</v>
      </c>
      <c r="C8" s="15">
        <v>84.82</v>
      </c>
      <c r="D8" s="12">
        <f>C10+E10+C11</f>
        <v>28.229999999999997</v>
      </c>
      <c r="E8" s="12">
        <f>SUM(C8:D8)</f>
        <v>113.04999999999998</v>
      </c>
    </row>
    <row r="10" spans="2:5" ht="12.75">
      <c r="B10" t="s">
        <v>12</v>
      </c>
      <c r="C10" s="15">
        <v>21.99</v>
      </c>
      <c r="D10" t="s">
        <v>13</v>
      </c>
      <c r="E10" s="15">
        <v>6.24</v>
      </c>
    </row>
    <row r="11" spans="2:3" ht="12.75">
      <c r="B11" t="s">
        <v>34</v>
      </c>
      <c r="C11" s="15">
        <v>0</v>
      </c>
    </row>
    <row r="13" ht="12.75">
      <c r="B13" s="2" t="s">
        <v>14</v>
      </c>
    </row>
    <row r="14" spans="2:5" ht="12.75">
      <c r="B14" t="s">
        <v>35</v>
      </c>
      <c r="D14" t="s">
        <v>36</v>
      </c>
      <c r="E14" t="s">
        <v>37</v>
      </c>
    </row>
    <row r="15" spans="3:5" ht="12.75">
      <c r="C15" t="s">
        <v>6</v>
      </c>
      <c r="D15" t="s">
        <v>38</v>
      </c>
      <c r="E15" t="s">
        <v>39</v>
      </c>
    </row>
    <row r="16" spans="2:5" ht="12.75">
      <c r="B16" t="s">
        <v>33</v>
      </c>
      <c r="C16" s="14">
        <f>E5*365/12</f>
        <v>1816.4833333333333</v>
      </c>
      <c r="D16" s="15">
        <v>0</v>
      </c>
      <c r="E16" s="14">
        <f>C16-D16</f>
        <v>1816.4833333333333</v>
      </c>
    </row>
    <row r="17" spans="2:5" ht="12.75">
      <c r="B17" t="s">
        <v>9</v>
      </c>
      <c r="C17" s="14">
        <f>E6*365/12</f>
        <v>2590.2833333333333</v>
      </c>
      <c r="D17" s="15">
        <v>1022.58</v>
      </c>
      <c r="E17" s="14">
        <f>C17-D17</f>
        <v>1567.7033333333334</v>
      </c>
    </row>
    <row r="18" spans="2:5" ht="12.75">
      <c r="B18" t="s">
        <v>10</v>
      </c>
      <c r="C18" s="14">
        <f>E7*365/12</f>
        <v>2926.0833333333326</v>
      </c>
      <c r="D18" s="15">
        <v>1278.23</v>
      </c>
      <c r="E18" s="14">
        <f>C18-D18</f>
        <v>1647.8533333333326</v>
      </c>
    </row>
    <row r="19" spans="2:5" ht="12.75">
      <c r="B19" t="s">
        <v>11</v>
      </c>
      <c r="C19" s="14">
        <f>E8*365/12</f>
        <v>3438.604166666666</v>
      </c>
      <c r="D19" s="15">
        <v>1431.62</v>
      </c>
      <c r="E19" s="14">
        <f>C19-D19</f>
        <v>2006.9841666666662</v>
      </c>
    </row>
    <row r="22" ht="12.75">
      <c r="B22" s="2" t="s">
        <v>40</v>
      </c>
    </row>
    <row r="23" spans="4:6" ht="12.75">
      <c r="D23" s="8" t="s">
        <v>36</v>
      </c>
      <c r="E23" s="8" t="s">
        <v>41</v>
      </c>
      <c r="F23" s="8" t="s">
        <v>49</v>
      </c>
    </row>
    <row r="24" spans="3:6" ht="12.75">
      <c r="C24" t="s">
        <v>42</v>
      </c>
      <c r="D24" s="8" t="s">
        <v>38</v>
      </c>
      <c r="E24" s="8" t="s">
        <v>43</v>
      </c>
      <c r="F24" s="8" t="s">
        <v>44</v>
      </c>
    </row>
    <row r="25" spans="2:6" ht="12.75">
      <c r="B25" t="s">
        <v>33</v>
      </c>
      <c r="C25" s="12">
        <f>E5</f>
        <v>59.72</v>
      </c>
      <c r="D25" s="12">
        <v>0</v>
      </c>
      <c r="E25" s="12">
        <f>C25</f>
        <v>59.72</v>
      </c>
      <c r="F25" s="16">
        <v>0</v>
      </c>
    </row>
    <row r="26" spans="2:6" ht="12.75">
      <c r="B26" t="s">
        <v>9</v>
      </c>
      <c r="C26" s="12">
        <f>E6</f>
        <v>85.16</v>
      </c>
      <c r="D26" s="12">
        <f>C6</f>
        <v>56.93</v>
      </c>
      <c r="E26" s="12">
        <f>C26-D26</f>
        <v>28.229999999999997</v>
      </c>
      <c r="F26" s="16">
        <f>1431.62/D26</f>
        <v>25.147022659406286</v>
      </c>
    </row>
    <row r="27" spans="2:6" ht="12.75">
      <c r="B27" t="s">
        <v>10</v>
      </c>
      <c r="C27" s="12">
        <f>E7</f>
        <v>96.19999999999999</v>
      </c>
      <c r="D27" s="12">
        <f>C7</f>
        <v>67.97</v>
      </c>
      <c r="E27" s="12">
        <f>C27-D27</f>
        <v>28.22999999999999</v>
      </c>
      <c r="F27" s="16">
        <f>1431.62/D27</f>
        <v>21.062527585699574</v>
      </c>
    </row>
    <row r="28" spans="2:6" ht="12.75">
      <c r="B28" t="s">
        <v>11</v>
      </c>
      <c r="C28" s="12">
        <f>E8</f>
        <v>113.04999999999998</v>
      </c>
      <c r="D28" s="12">
        <f>C8</f>
        <v>84.82</v>
      </c>
      <c r="E28" s="12">
        <f>C28-D28</f>
        <v>28.22999999999999</v>
      </c>
      <c r="F28" s="16">
        <f>1431.62/D28</f>
        <v>16.87833058240981</v>
      </c>
    </row>
    <row r="31" ht="12.75">
      <c r="B31" s="2" t="s">
        <v>45</v>
      </c>
    </row>
    <row r="32" ht="12.75">
      <c r="B32" t="s">
        <v>46</v>
      </c>
    </row>
    <row r="33" spans="2:5" ht="12.75">
      <c r="B33" t="s">
        <v>47</v>
      </c>
      <c r="E33" t="s">
        <v>48</v>
      </c>
    </row>
    <row r="34" ht="12.75">
      <c r="F34" s="8"/>
    </row>
    <row r="35" spans="4:6" ht="12.75">
      <c r="D35" s="8" t="s">
        <v>36</v>
      </c>
      <c r="E35" s="8" t="s">
        <v>41</v>
      </c>
      <c r="F35" s="8"/>
    </row>
    <row r="36" spans="3:5" ht="12.75">
      <c r="C36" t="s">
        <v>42</v>
      </c>
      <c r="D36" s="8" t="s">
        <v>38</v>
      </c>
      <c r="E36" s="8" t="s">
        <v>43</v>
      </c>
    </row>
    <row r="37" spans="2:5" ht="12.75">
      <c r="B37" t="s">
        <v>33</v>
      </c>
      <c r="C37" s="12">
        <f>(C5+C10)*0.75+E10+C11</f>
        <v>46.35</v>
      </c>
      <c r="D37" s="12">
        <v>0</v>
      </c>
      <c r="E37" s="12">
        <f>C37-D37</f>
        <v>46.35</v>
      </c>
    </row>
    <row r="38" spans="2:5" ht="12.75">
      <c r="B38" t="s">
        <v>9</v>
      </c>
      <c r="C38" s="12">
        <f>(C6+C10)*0.75+E10+C11</f>
        <v>65.42999999999999</v>
      </c>
      <c r="D38" s="12">
        <f>C6*0.75</f>
        <v>42.6975</v>
      </c>
      <c r="E38" s="12">
        <f>C38-D38</f>
        <v>22.732499999999995</v>
      </c>
    </row>
    <row r="39" spans="2:5" ht="12.75">
      <c r="B39" t="s">
        <v>10</v>
      </c>
      <c r="C39" s="12">
        <f>(C7+C10)*0.75+E10+C11</f>
        <v>73.71</v>
      </c>
      <c r="D39" s="12">
        <f>C7*0.75</f>
        <v>50.9775</v>
      </c>
      <c r="E39" s="12">
        <f>C39-D39</f>
        <v>22.732499999999995</v>
      </c>
    </row>
    <row r="40" spans="2:5" ht="12.75">
      <c r="B40" t="s">
        <v>11</v>
      </c>
      <c r="C40" s="12">
        <f>(C8+C10)*0.75+E10+C11</f>
        <v>86.34749999999998</v>
      </c>
      <c r="D40" s="12">
        <f>C8*0.75</f>
        <v>63.614999999999995</v>
      </c>
      <c r="E40" s="12">
        <f>C40-D40</f>
        <v>22.732499999999987</v>
      </c>
    </row>
  </sheetData>
  <sheetProtection sheet="1" objects="1" scenarios="1"/>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Kostenberechnung für Pflege</dc:title>
  <dc:subject/>
  <dc:creator>Günther Schwarz</dc:creator>
  <cp:keywords/>
  <dc:description/>
  <cp:lastModifiedBy>SchwarzG</cp:lastModifiedBy>
  <cp:lastPrinted>2002-03-27T20:04:26Z</cp:lastPrinted>
  <dcterms:created xsi:type="dcterms:W3CDTF">2001-02-18T10:23:02Z</dcterms:created>
  <dcterms:modified xsi:type="dcterms:W3CDTF">2002-04-24T14:06:52Z</dcterms:modified>
  <cp:category/>
  <cp:version/>
  <cp:contentType/>
  <cp:contentStatus/>
</cp:coreProperties>
</file>